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secth.sharepoint.com/sites/Digital1RiskDSE/Shared Documents/Digital 1/DF01 NC/NC05 กรณีตรวจสอบ/"/>
    </mc:Choice>
  </mc:AlternateContent>
  <xr:revisionPtr revIDLastSave="520" documentId="13_ncr:1_{57ACB311-5232-432C-BA96-208AC716E45E}" xr6:coauthVersionLast="47" xr6:coauthVersionMax="47" xr10:uidLastSave="{FA58E5E7-5C8E-401C-A4D4-2BD0F54BBB74}"/>
  <bookViews>
    <workbookView xWindow="28680" yWindow="-120" windowWidth="29040" windowHeight="15720" xr2:uid="{00000000-000D-0000-FFFF-FFFF00000000}"/>
  </bookViews>
  <sheets>
    <sheet name="same coin - สมมติฐาน 3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4" l="1"/>
  <c r="K39" i="14" s="1"/>
  <c r="K41" i="14" s="1"/>
  <c r="K24" i="14"/>
  <c r="L24" i="14"/>
  <c r="K25" i="14"/>
  <c r="L25" i="14"/>
  <c r="L23" i="14"/>
  <c r="K23" i="14"/>
  <c r="F23" i="14"/>
  <c r="G6" i="14"/>
  <c r="G7" i="14"/>
  <c r="G5" i="14"/>
  <c r="I38" i="14"/>
  <c r="I37" i="14"/>
  <c r="I36" i="14"/>
  <c r="D17" i="14" l="1"/>
  <c r="H7" i="14"/>
  <c r="I7" i="14" s="1"/>
  <c r="J25" i="14" s="1"/>
  <c r="J29" i="14" s="1"/>
  <c r="D15" i="14"/>
  <c r="H5" i="14"/>
  <c r="H6" i="14"/>
  <c r="D16" i="14"/>
  <c r="C51" i="14"/>
  <c r="C50" i="14"/>
  <c r="C49" i="14"/>
  <c r="I6" i="14"/>
  <c r="K5" i="14"/>
  <c r="C17" i="14"/>
  <c r="C16" i="14"/>
  <c r="C15" i="14"/>
  <c r="C8" i="14"/>
  <c r="K44" i="14" s="1"/>
  <c r="I25" i="14"/>
  <c r="I29" i="14" s="1"/>
  <c r="I24" i="14"/>
  <c r="I28" i="14" s="1"/>
  <c r="I23" i="14"/>
  <c r="H23" i="14"/>
  <c r="I27" i="14" l="1"/>
  <c r="K27" i="14" s="1"/>
  <c r="K29" i="14"/>
  <c r="H8" i="14"/>
  <c r="C52" i="14"/>
  <c r="D51" i="14" s="1"/>
  <c r="I5" i="14"/>
  <c r="C18" i="14"/>
  <c r="K6" i="14"/>
  <c r="H17" i="14"/>
  <c r="K17" i="14" s="1"/>
  <c r="D8" i="14"/>
  <c r="E8" i="14"/>
  <c r="J5" i="14"/>
  <c r="H27" i="14"/>
  <c r="L5" i="14"/>
  <c r="J23" i="14"/>
  <c r="J27" i="14" s="1"/>
  <c r="F8" i="14"/>
  <c r="G15" i="14"/>
  <c r="J15" i="14" s="1"/>
  <c r="C23" i="14" s="1"/>
  <c r="I30" i="14"/>
  <c r="L6" i="14"/>
  <c r="J24" i="14"/>
  <c r="J28" i="14" s="1"/>
  <c r="K28" i="14" s="1"/>
  <c r="J7" i="14"/>
  <c r="K7" i="14"/>
  <c r="H25" i="14"/>
  <c r="H24" i="14"/>
  <c r="E16" i="14"/>
  <c r="L7" i="14"/>
  <c r="J6" i="14"/>
  <c r="L8" i="14" l="1"/>
  <c r="J8" i="14"/>
  <c r="K8" i="14"/>
  <c r="I8" i="14"/>
  <c r="D49" i="14"/>
  <c r="D50" i="14"/>
  <c r="E50" i="14"/>
  <c r="E51" i="14"/>
  <c r="D59" i="14" s="1"/>
  <c r="E49" i="14"/>
  <c r="D57" i="14" s="1"/>
  <c r="G17" i="14"/>
  <c r="J17" i="14" s="1"/>
  <c r="C25" i="14" s="1"/>
  <c r="C29" i="14" s="1"/>
  <c r="D25" i="14"/>
  <c r="D29" i="14" s="1"/>
  <c r="F17" i="14"/>
  <c r="I16" i="14"/>
  <c r="L16" i="14" s="1"/>
  <c r="E24" i="14" s="1"/>
  <c r="E28" i="14" s="1"/>
  <c r="E17" i="14"/>
  <c r="H16" i="14"/>
  <c r="K16" i="14" s="1"/>
  <c r="D24" i="14" s="1"/>
  <c r="D28" i="14" s="1"/>
  <c r="E15" i="14"/>
  <c r="F15" i="14"/>
  <c r="H15" i="14"/>
  <c r="K15" i="14" s="1"/>
  <c r="D23" i="14" s="1"/>
  <c r="D27" i="14" s="1"/>
  <c r="I17" i="14"/>
  <c r="L17" i="14" s="1"/>
  <c r="E25" i="14" s="1"/>
  <c r="E29" i="14" s="1"/>
  <c r="F16" i="14"/>
  <c r="I15" i="14"/>
  <c r="L15" i="14" s="1"/>
  <c r="E23" i="14" s="1"/>
  <c r="E27" i="14" s="1"/>
  <c r="D18" i="14"/>
  <c r="G16" i="14"/>
  <c r="J16" i="14" s="1"/>
  <c r="C24" i="14" s="1"/>
  <c r="H28" i="14"/>
  <c r="H29" i="14"/>
  <c r="G8" i="14"/>
  <c r="C27" i="14"/>
  <c r="J30" i="14"/>
  <c r="E52" i="14" l="1"/>
  <c r="D58" i="14"/>
  <c r="D60" i="14" s="1"/>
  <c r="F25" i="14"/>
  <c r="F29" i="14"/>
  <c r="L29" i="14" s="1"/>
  <c r="D30" i="14"/>
  <c r="E30" i="14"/>
  <c r="K18" i="14"/>
  <c r="J18" i="14"/>
  <c r="C28" i="14"/>
  <c r="F28" i="14" s="1"/>
  <c r="L28" i="14" s="1"/>
  <c r="F24" i="14"/>
  <c r="F18" i="14"/>
  <c r="E18" i="14"/>
  <c r="L18" i="14"/>
  <c r="F27" i="14"/>
  <c r="L27" i="14" s="1"/>
  <c r="H30" i="14"/>
  <c r="K30" i="14"/>
  <c r="C59" i="14" l="1"/>
  <c r="E59" i="14" s="1"/>
  <c r="C58" i="14"/>
  <c r="E58" i="14" s="1"/>
  <c r="C30" i="14"/>
  <c r="C57" i="14"/>
  <c r="E57" i="14" s="1"/>
  <c r="F30" i="14"/>
  <c r="L30" i="14" s="1"/>
  <c r="C60" i="14" s="1"/>
  <c r="E60" i="14" s="1"/>
</calcChain>
</file>

<file path=xl/sharedStrings.xml><?xml version="1.0" encoding="utf-8"?>
<sst xmlns="http://schemas.openxmlformats.org/spreadsheetml/2006/main" count="114" uniqueCount="73">
  <si>
    <t>Hot Value</t>
  </si>
  <si>
    <t>BTC</t>
  </si>
  <si>
    <t>USDT</t>
  </si>
  <si>
    <t>ETH</t>
  </si>
  <si>
    <t>Symbol</t>
  </si>
  <si>
    <t>Customer DA</t>
  </si>
  <si>
    <t>Hot Wallet</t>
  </si>
  <si>
    <t>Total</t>
  </si>
  <si>
    <t>(A)</t>
  </si>
  <si>
    <t>(B)</t>
  </si>
  <si>
    <t>Custodian ไทย</t>
  </si>
  <si>
    <t>Total Custody Risk</t>
  </si>
  <si>
    <t>รวมมูลค่า DA ลูกค้า</t>
  </si>
  <si>
    <t>Self Cold Wallet</t>
  </si>
  <si>
    <t>Custodian ต่างประเทศ</t>
  </si>
  <si>
    <t>อัตราการดำรง NC</t>
  </si>
  <si>
    <t>รวม</t>
  </si>
  <si>
    <t>0 - 5%</t>
  </si>
  <si>
    <t>5 - 10%</t>
  </si>
  <si>
    <t>10 - 100%</t>
  </si>
  <si>
    <t>อัตราส่วน Hot</t>
  </si>
  <si>
    <t>(C)</t>
  </si>
  <si>
    <t>(D)</t>
  </si>
  <si>
    <t>(E) = A*D</t>
  </si>
  <si>
    <t>(F) = B*D</t>
  </si>
  <si>
    <t>(G) = C*D</t>
  </si>
  <si>
    <t>E+F+G</t>
  </si>
  <si>
    <t>อัตราส่วน</t>
  </si>
  <si>
    <t>Concentration Risk</t>
  </si>
  <si>
    <t>วิธีการคำนวณ concentration risk</t>
  </si>
  <si>
    <t>อัตราส่วน Self Cold</t>
  </si>
  <si>
    <t>%Hot</t>
  </si>
  <si>
    <t>รวม Custody Risk</t>
  </si>
  <si>
    <t>Total Same Coin</t>
  </si>
  <si>
    <t>มูลค่า DA ของลูกค้าที่จัดเก็บใน Wallet ต่าง ๆ</t>
  </si>
  <si>
    <t>เงินกองทุนสภาพคล่องสุทธิ</t>
  </si>
  <si>
    <t>(ข้อ 8 - 14)</t>
  </si>
  <si>
    <t>เงินกองทุนส่วนที่รองรับ trading service risk</t>
  </si>
  <si>
    <t>ก. มูลค่า</t>
  </si>
  <si>
    <t>ข. ค่าเฉลี่ยถ่วงน้ำหนัก</t>
  </si>
  <si>
    <t>ค. มูลค่าเฉลี่ย</t>
  </si>
  <si>
    <t>ง. กรมธรรม์</t>
  </si>
  <si>
    <t>จ. มูลค่าสุทธิ</t>
  </si>
  <si>
    <t>17.3.1</t>
  </si>
  <si>
    <t>มูลค่า trading value รายวันเฉลี่ยย้อนหลัง 90 วัน (30 วันที่ใกล้ปัจจุบันที่สุด)</t>
  </si>
  <si>
    <t>17.3.2</t>
  </si>
  <si>
    <t xml:space="preserve">มูลค่า trading value รายวันเฉลี่ยย้อนหลัง 90 วัน (30 วันถัดไป) </t>
  </si>
  <si>
    <t>17.3.3</t>
  </si>
  <si>
    <t>มูลค่า trading value รายวันเฉลี่ยย้อนหลัง 90 วัน (30 วันที่ไกลจากปัจจุบันที่สุด)</t>
  </si>
  <si>
    <t>เงินกองทุนที่ต้องดำรง (คิดจากมูลค่า trading value เฉลี่ยถ่วงน้ำหนัก)</t>
  </si>
  <si>
    <t>มูลค่าสินทรัพย์ดิจิทัลสูงสุดที่สามารถดำรงได้ใน hot wallet แต่ละกระเป๋า (adjusted NC)</t>
  </si>
  <si>
    <t>ก. จำนวนกระเป๋า</t>
  </si>
  <si>
    <t>ข. มูลค่าที่เกิน adjusted NC</t>
  </si>
  <si>
    <t>ผลรวมมูลค่าการเก็บสินทรัพย์ดิจิทัลใน hot wallet ที่เกิน adjusted NC (จากส่วนที่ 6)</t>
  </si>
  <si>
    <t>คำนวณเพดาน same coin รายเหรียญ</t>
  </si>
  <si>
    <t xml:space="preserve">ขั้นที่ 1 : คำนวณแบ่งลำดับขั้นบันได hot wallet ตามสัดส่วนเทียบกับมูลค่ารวม (รายละเอียดตามตาราง)  </t>
  </si>
  <si>
    <t>ขั้นที่ 2 : คำนวณ custody risk รายเหรียญจากสินทรัพย์ดิจิทัลของลูกค้าใน hot wallet และ cold wallet ดังตารางต่อไปนี้</t>
  </si>
  <si>
    <t>คำนวณ concentration risk รายเหรียญ (รายละเอียดตามตัวอย่างเพิ่มเติม)</t>
  </si>
  <si>
    <t>มูลค่ารวม Custodian</t>
  </si>
  <si>
    <t>อัตราส่วน Custodian ต่างประเทศ</t>
  </si>
  <si>
    <t>อัตราส่วน Custodian ไทย</t>
  </si>
  <si>
    <t>รวม Self Cold Wallet / 3rd custodian</t>
  </si>
  <si>
    <t>% Self Cold Wallet / 3rd custodian</t>
  </si>
  <si>
    <t>step 1 (≤ 5%)</t>
  </si>
  <si>
    <t>step 2 (&gt; 5% แต่ ≤ 10% )</t>
  </si>
  <si>
    <t>step 3 (&gt; 10% )</t>
  </si>
  <si>
    <t>ลำดับขั้นบันได (step)**</t>
  </si>
  <si>
    <t>มูลค่าฐานแยกตามอัตรา risk charge แต่ละ step</t>
  </si>
  <si>
    <t>อัตรา 5%</t>
  </si>
  <si>
    <t>อัตรา 10%</t>
  </si>
  <si>
    <t>อัตรา 100%</t>
  </si>
  <si>
    <t>การคำนวณมูลค่าฐาน (base value) ตามลำดับขั้นบันได hot wallet</t>
  </si>
  <si>
    <t>Total Hot Wallet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</si>
</sst>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9"/>
      <color rgb="FF000000"/>
      <name val="Tahoma"/>
    </font>
    <font>
      <b/>
      <sz val="9"/>
      <color rgb="FF000000"/>
      <name val="Tahoma"/>
      <family val="2"/>
    </font>
    <font>
      <sz val="14"/>
      <name val="TH SarabunPSK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255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2DAE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87331"/>
        <bgColor indexed="64"/>
      </patternFill>
    </fill>
    <fill>
      <patternFill patternType="solid">
        <fgColor rgb="FFEE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165" fontId="3" fillId="6" borderId="0" xfId="2" applyNumberFormat="1" applyFont="1" applyFill="1" applyBorder="1" applyAlignment="1">
      <alignment horizontal="center" vertical="center"/>
    </xf>
    <xf numFmtId="165" fontId="3" fillId="5" borderId="0" xfId="2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6" borderId="5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164" fontId="2" fillId="8" borderId="13" xfId="0" applyNumberFormat="1" applyFont="1" applyFill="1" applyBorder="1" applyAlignment="1">
      <alignment horizontal="center" vertical="center"/>
    </xf>
    <xf numFmtId="165" fontId="3" fillId="5" borderId="13" xfId="2" applyNumberFormat="1" applyFont="1" applyFill="1" applyBorder="1" applyAlignment="1">
      <alignment horizontal="center" vertical="center"/>
    </xf>
    <xf numFmtId="165" fontId="3" fillId="6" borderId="7" xfId="2" applyNumberFormat="1" applyFont="1" applyFill="1" applyBorder="1" applyAlignment="1">
      <alignment horizontal="center" vertical="center"/>
    </xf>
    <xf numFmtId="164" fontId="3" fillId="13" borderId="0" xfId="1" applyNumberFormat="1" applyFont="1" applyFill="1" applyBorder="1" applyAlignment="1">
      <alignment horizontal="center" vertical="center"/>
    </xf>
    <xf numFmtId="164" fontId="3" fillId="13" borderId="5" xfId="1" applyNumberFormat="1" applyFont="1" applyFill="1" applyBorder="1" applyAlignment="1">
      <alignment horizontal="center" vertical="center"/>
    </xf>
    <xf numFmtId="165" fontId="3" fillId="6" borderId="13" xfId="2" applyNumberFormat="1" applyFont="1" applyFill="1" applyBorder="1" applyAlignment="1">
      <alignment horizontal="center" vertical="center"/>
    </xf>
    <xf numFmtId="164" fontId="2" fillId="13" borderId="13" xfId="1" applyNumberFormat="1" applyFont="1" applyFill="1" applyBorder="1" applyAlignment="1">
      <alignment horizontal="center" vertical="center"/>
    </xf>
    <xf numFmtId="164" fontId="2" fillId="13" borderId="7" xfId="1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2" fillId="14" borderId="8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2" fillId="14" borderId="9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14" borderId="16" xfId="2" applyNumberFormat="1" applyFont="1" applyFill="1" applyBorder="1" applyAlignment="1">
      <alignment horizontal="center" vertical="center"/>
    </xf>
    <xf numFmtId="165" fontId="3" fillId="14" borderId="1" xfId="2" applyNumberFormat="1" applyFont="1" applyFill="1" applyBorder="1" applyAlignment="1">
      <alignment horizontal="center" vertical="center"/>
    </xf>
    <xf numFmtId="164" fontId="2" fillId="14" borderId="1" xfId="0" applyNumberFormat="1" applyFont="1" applyFill="1" applyBorder="1" applyAlignment="1">
      <alignment horizontal="center" vertical="center"/>
    </xf>
    <xf numFmtId="165" fontId="3" fillId="15" borderId="1" xfId="2" applyNumberFormat="1" applyFont="1" applyFill="1" applyBorder="1" applyAlignment="1">
      <alignment horizontal="center" vertical="center"/>
    </xf>
    <xf numFmtId="164" fontId="2" fillId="14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2" fillId="15" borderId="7" xfId="0" applyNumberFormat="1" applyFont="1" applyFill="1" applyBorder="1" applyAlignment="1">
      <alignment horizontal="center" vertical="center"/>
    </xf>
    <xf numFmtId="164" fontId="2" fillId="14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0" xfId="0" applyFont="1"/>
    <xf numFmtId="165" fontId="3" fillId="0" borderId="0" xfId="0" applyNumberFormat="1" applyFont="1" applyAlignment="1">
      <alignment horizontal="center" vertical="center"/>
    </xf>
    <xf numFmtId="0" fontId="2" fillId="9" borderId="14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5" fontId="3" fillId="8" borderId="0" xfId="2" applyNumberFormat="1" applyFont="1" applyFill="1" applyBorder="1" applyAlignment="1">
      <alignment horizontal="center" vertical="center"/>
    </xf>
    <xf numFmtId="164" fontId="2" fillId="10" borderId="9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/>
    </xf>
    <xf numFmtId="164" fontId="3" fillId="9" borderId="9" xfId="0" applyNumberFormat="1" applyFont="1" applyFill="1" applyBorder="1" applyAlignment="1">
      <alignment horizontal="center"/>
    </xf>
    <xf numFmtId="164" fontId="3" fillId="14" borderId="5" xfId="0" applyNumberFormat="1" applyFont="1" applyFill="1" applyBorder="1" applyAlignment="1">
      <alignment horizontal="center"/>
    </xf>
    <xf numFmtId="164" fontId="2" fillId="7" borderId="10" xfId="0" applyNumberFormat="1" applyFont="1" applyFill="1" applyBorder="1" applyAlignment="1">
      <alignment horizontal="center" vertical="center"/>
    </xf>
    <xf numFmtId="164" fontId="2" fillId="9" borderId="10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9" fontId="7" fillId="0" borderId="1" xfId="0" applyNumberFormat="1" applyFont="1" applyBorder="1" applyAlignment="1">
      <alignment horizontal="center"/>
    </xf>
    <xf numFmtId="43" fontId="5" fillId="0" borderId="1" xfId="1" applyFont="1" applyBorder="1" applyAlignment="1">
      <alignment horizontal="right"/>
    </xf>
    <xf numFmtId="43" fontId="5" fillId="0" borderId="11" xfId="1" applyFont="1" applyBorder="1"/>
    <xf numFmtId="0" fontId="7" fillId="0" borderId="1" xfId="0" applyFont="1" applyBorder="1"/>
    <xf numFmtId="0" fontId="2" fillId="14" borderId="1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16" borderId="0" xfId="0" applyFont="1" applyFill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164" fontId="3" fillId="17" borderId="0" xfId="0" applyNumberFormat="1" applyFont="1" applyFill="1" applyAlignment="1">
      <alignment horizontal="center" vertical="center"/>
    </xf>
    <xf numFmtId="164" fontId="2" fillId="17" borderId="13" xfId="0" applyNumberFormat="1" applyFont="1" applyFill="1" applyBorder="1" applyAlignment="1">
      <alignment horizontal="center" vertical="center"/>
    </xf>
    <xf numFmtId="165" fontId="3" fillId="17" borderId="5" xfId="2" applyNumberFormat="1" applyFont="1" applyFill="1" applyBorder="1" applyAlignment="1">
      <alignment horizontal="center" vertical="center"/>
    </xf>
    <xf numFmtId="165" fontId="3" fillId="17" borderId="7" xfId="2" applyNumberFormat="1" applyFont="1" applyFill="1" applyBorder="1" applyAlignment="1">
      <alignment horizontal="center" vertical="center"/>
    </xf>
    <xf numFmtId="164" fontId="3" fillId="17" borderId="8" xfId="0" applyNumberFormat="1" applyFont="1" applyFill="1" applyBorder="1" applyAlignment="1">
      <alignment horizontal="center" vertical="center"/>
    </xf>
    <xf numFmtId="164" fontId="3" fillId="17" borderId="9" xfId="0" applyNumberFormat="1" applyFont="1" applyFill="1" applyBorder="1" applyAlignment="1">
      <alignment horizontal="center" vertical="center"/>
    </xf>
    <xf numFmtId="164" fontId="2" fillId="17" borderId="1" xfId="0" applyNumberFormat="1" applyFont="1" applyFill="1" applyBorder="1" applyAlignment="1">
      <alignment horizontal="center" vertical="center"/>
    </xf>
    <xf numFmtId="164" fontId="2" fillId="17" borderId="10" xfId="0" applyNumberFormat="1" applyFont="1" applyFill="1" applyBorder="1" applyAlignment="1">
      <alignment horizontal="center" vertical="center"/>
    </xf>
    <xf numFmtId="165" fontId="3" fillId="18" borderId="1" xfId="2" applyNumberFormat="1" applyFont="1" applyFill="1" applyBorder="1" applyAlignment="1">
      <alignment horizontal="center" vertical="center"/>
    </xf>
    <xf numFmtId="164" fontId="2" fillId="18" borderId="1" xfId="0" applyNumberFormat="1" applyFont="1" applyFill="1" applyBorder="1" applyAlignment="1">
      <alignment horizontal="center" vertical="center"/>
    </xf>
    <xf numFmtId="164" fontId="2" fillId="18" borderId="7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/>
    </xf>
    <xf numFmtId="0" fontId="4" fillId="0" borderId="18" xfId="0" applyFont="1" applyBorder="1"/>
    <xf numFmtId="0" fontId="5" fillId="0" borderId="18" xfId="0" applyFont="1" applyBorder="1"/>
    <xf numFmtId="43" fontId="4" fillId="0" borderId="19" xfId="1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0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21" xfId="0" applyFont="1" applyBorder="1" applyAlignment="1">
      <alignment horizontal="center"/>
    </xf>
    <xf numFmtId="0" fontId="10" fillId="0" borderId="20" xfId="0" applyFont="1" applyBorder="1"/>
    <xf numFmtId="0" fontId="7" fillId="0" borderId="0" xfId="0" applyFont="1" applyAlignment="1">
      <alignment horizontal="right"/>
    </xf>
    <xf numFmtId="9" fontId="7" fillId="0" borderId="0" xfId="0" applyNumberFormat="1" applyFont="1" applyAlignment="1">
      <alignment horizontal="center"/>
    </xf>
    <xf numFmtId="0" fontId="7" fillId="0" borderId="21" xfId="0" applyFont="1" applyBorder="1"/>
    <xf numFmtId="0" fontId="7" fillId="0" borderId="20" xfId="0" applyFont="1" applyBorder="1"/>
    <xf numFmtId="43" fontId="5" fillId="0" borderId="22" xfId="1" applyFont="1" applyBorder="1"/>
    <xf numFmtId="0" fontId="5" fillId="0" borderId="20" xfId="0" applyFont="1" applyBorder="1"/>
    <xf numFmtId="0" fontId="5" fillId="0" borderId="0" xfId="0" applyFont="1" applyAlignment="1">
      <alignment horizontal="center"/>
    </xf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7" fillId="0" borderId="24" xfId="0" applyFont="1" applyBorder="1"/>
    <xf numFmtId="0" fontId="5" fillId="0" borderId="24" xfId="0" applyFont="1" applyBorder="1" applyAlignment="1">
      <alignment horizontal="center"/>
    </xf>
    <xf numFmtId="0" fontId="7" fillId="0" borderId="25" xfId="0" applyFont="1" applyBorder="1"/>
    <xf numFmtId="164" fontId="5" fillId="9" borderId="26" xfId="1" applyNumberFormat="1" applyFont="1" applyFill="1" applyBorder="1"/>
    <xf numFmtId="0" fontId="2" fillId="19" borderId="1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/>
    </xf>
    <xf numFmtId="0" fontId="2" fillId="9" borderId="12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14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/>
    </xf>
    <xf numFmtId="0" fontId="2" fillId="9" borderId="15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readingOrder="1"/>
    </xf>
    <xf numFmtId="0" fontId="9" fillId="20" borderId="16" xfId="0" applyFont="1" applyFill="1" applyBorder="1" applyAlignment="1">
      <alignment horizontal="center" vertical="center" readingOrder="1"/>
    </xf>
    <xf numFmtId="0" fontId="2" fillId="7" borderId="0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19" borderId="0" xfId="0" applyFont="1" applyFill="1" applyBorder="1" applyAlignment="1">
      <alignment horizontal="center" vertical="center" wrapText="1" readingOrder="1"/>
    </xf>
    <xf numFmtId="0" fontId="8" fillId="11" borderId="0" xfId="0" applyFont="1" applyFill="1" applyBorder="1" applyAlignment="1">
      <alignment horizontal="center" vertical="center" wrapText="1" readingOrder="1"/>
    </xf>
    <xf numFmtId="0" fontId="8" fillId="11" borderId="5" xfId="0" applyFont="1" applyFill="1" applyBorder="1" applyAlignment="1">
      <alignment horizontal="center" vertical="center" wrapText="1" readingOrder="1"/>
    </xf>
    <xf numFmtId="164" fontId="3" fillId="5" borderId="0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165" fontId="3" fillId="12" borderId="0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F5255B"/>
      <color rgb="FFE87331"/>
      <color rgb="FFFFE699"/>
      <color rgb="FFFFF2CC"/>
      <color rgb="FFFFC000"/>
      <color rgb="FFFF0000"/>
      <color rgb="FFFFFFFF"/>
      <color rgb="FFFFFFCC"/>
      <color rgb="FFFFCCCC"/>
      <color rgb="FFF2D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549275</xdr:colOff>
      <xdr:row>0</xdr:row>
      <xdr:rowOff>177800</xdr:rowOff>
    </xdr:from>
    <xdr:to>
      <xdr:col>0</xdr:col>
      <xdr:colOff>837275</xdr:colOff>
      <xdr:row>2</xdr:row>
      <xdr:rowOff>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F0C93BF-C21B-217A-C5B7-3CFBA559E927}"/>
            </a:ext>
          </a:extLst>
        </xdr:cNvPr>
        <xdr:cNvSpPr/>
      </xdr:nvSpPr>
      <xdr:spPr>
        <a:xfrm>
          <a:off x="549275" y="177800"/>
          <a:ext cx="288000" cy="2880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 b="1"/>
            <a:t>1</a:t>
          </a:r>
        </a:p>
      </xdr:txBody>
    </xdr:sp>
    <xdr:clientData/>
  </xdr:twoCellAnchor>
  <xdr:twoCellAnchor>
    <xdr:from>
      <xdr:col>0</xdr:col>
      <xdr:colOff>577850</xdr:colOff>
      <xdr:row>8</xdr:row>
      <xdr:rowOff>149225</xdr:rowOff>
    </xdr:from>
    <xdr:to>
      <xdr:col>0</xdr:col>
      <xdr:colOff>865850</xdr:colOff>
      <xdr:row>9</xdr:row>
      <xdr:rowOff>208625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BACD36F-23C5-4A28-AADA-93B9A89189D5}"/>
            </a:ext>
          </a:extLst>
        </xdr:cNvPr>
        <xdr:cNvSpPr/>
      </xdr:nvSpPr>
      <xdr:spPr>
        <a:xfrm>
          <a:off x="577850" y="1978025"/>
          <a:ext cx="288000" cy="2880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 b="1"/>
            <a:t>2</a:t>
          </a:r>
        </a:p>
      </xdr:txBody>
    </xdr:sp>
    <xdr:clientData/>
  </xdr:twoCellAnchor>
  <xdr:twoCellAnchor>
    <xdr:from>
      <xdr:col>8</xdr:col>
      <xdr:colOff>781050</xdr:colOff>
      <xdr:row>44</xdr:row>
      <xdr:rowOff>73025</xdr:rowOff>
    </xdr:from>
    <xdr:to>
      <xdr:col>11</xdr:col>
      <xdr:colOff>171450</xdr:colOff>
      <xdr:row>46</xdr:row>
      <xdr:rowOff>101600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1DEEE1D-B29E-EA57-AAA0-C8837C31B8B7}"/>
            </a:ext>
          </a:extLst>
        </xdr:cNvPr>
        <xdr:cNvSpPr/>
      </xdr:nvSpPr>
      <xdr:spPr>
        <a:xfrm>
          <a:off x="12030075" y="9998075"/>
          <a:ext cx="3762375" cy="485775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/>
            <a:t>คำนวณมูลค่า</a:t>
          </a:r>
          <a:r>
            <a:rPr lang="th-TH" sz="1800" b="1" baseline="0"/>
            <a:t> </a:t>
          </a:r>
          <a:r>
            <a:rPr lang="en-US" sz="1800" b="1" baseline="0"/>
            <a:t>Concentration Risk</a:t>
          </a:r>
          <a:endParaRPr lang="th-TH" sz="1800" b="1"/>
        </a:p>
      </xdr:txBody>
    </xdr:sp>
    <xdr:clientData/>
  </xdr:twoCellAnchor>
  <xdr:twoCellAnchor>
    <xdr:from>
      <xdr:col>0</xdr:col>
      <xdr:colOff>504825</xdr:colOff>
      <xdr:row>10</xdr:row>
      <xdr:rowOff>2721</xdr:rowOff>
    </xdr:from>
    <xdr:to>
      <xdr:col>1</xdr:col>
      <xdr:colOff>2251</xdr:colOff>
      <xdr:row>11</xdr:row>
      <xdr:rowOff>171450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462AEB1A-AFF6-4677-810A-29CB1D42A1A2}"/>
            </a:ext>
          </a:extLst>
        </xdr:cNvPr>
        <xdr:cNvSpPr/>
      </xdr:nvSpPr>
      <xdr:spPr>
        <a:xfrm>
          <a:off x="504825" y="2393496"/>
          <a:ext cx="497551" cy="39732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800" b="1"/>
            <a:t>2.1</a:t>
          </a:r>
        </a:p>
      </xdr:txBody>
    </xdr:sp>
    <xdr:clientData/>
  </xdr:twoCellAnchor>
  <xdr:twoCellAnchor>
    <xdr:from>
      <xdr:col>0</xdr:col>
      <xdr:colOff>390525</xdr:colOff>
      <xdr:row>30</xdr:row>
      <xdr:rowOff>209096</xdr:rowOff>
    </xdr:from>
    <xdr:to>
      <xdr:col>0</xdr:col>
      <xdr:colOff>980150</xdr:colOff>
      <xdr:row>32</xdr:row>
      <xdr:rowOff>39896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E385D57D-FA89-43C4-878D-C13B59E03976}"/>
            </a:ext>
          </a:extLst>
        </xdr:cNvPr>
        <xdr:cNvSpPr/>
      </xdr:nvSpPr>
      <xdr:spPr>
        <a:xfrm>
          <a:off x="390525" y="7305221"/>
          <a:ext cx="589625" cy="2880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800" b="1"/>
            <a:t>2.2</a:t>
          </a:r>
        </a:p>
      </xdr:txBody>
    </xdr:sp>
    <xdr:clientData/>
  </xdr:twoCellAnchor>
  <xdr:twoCellAnchor>
    <xdr:from>
      <xdr:col>0</xdr:col>
      <xdr:colOff>425451</xdr:colOff>
      <xdr:row>54</xdr:row>
      <xdr:rowOff>12246</xdr:rowOff>
    </xdr:from>
    <xdr:to>
      <xdr:col>0</xdr:col>
      <xdr:colOff>968376</xdr:colOff>
      <xdr:row>55</xdr:row>
      <xdr:rowOff>19050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8720945-4E6E-4DD0-9A85-5BFF7C8EE9EA}"/>
            </a:ext>
          </a:extLst>
        </xdr:cNvPr>
        <xdr:cNvSpPr/>
      </xdr:nvSpPr>
      <xdr:spPr>
        <a:xfrm>
          <a:off x="425451" y="12918621"/>
          <a:ext cx="542925" cy="23540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800" b="1"/>
            <a:t>2.3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BA03-E9C7-4942-BE44-56E87E29E474}">
  <dimension ref="A2:N60"/>
  <sheetViews>
    <sheetView tabSelected="1" zoomScaleNormal="100" workbookViewId="0">
      <selection activeCell="A14" sqref="A14"/>
    </sheetView>
  </sheetViews>
  <sheetFormatPr defaultColWidth="8.6328125" defaultRowHeight="18" customHeight="1" x14ac:dyDescent="0.3"/>
  <cols>
    <col min="1" max="1" width="14.36328125" style="57" customWidth="1"/>
    <col min="2" max="2" width="20.1796875" style="57" customWidth="1"/>
    <col min="3" max="3" width="18.36328125" style="57" bestFit="1" customWidth="1"/>
    <col min="4" max="4" width="18.1796875" style="57" customWidth="1"/>
    <col min="5" max="5" width="22" style="57" customWidth="1"/>
    <col min="6" max="6" width="19.54296875" style="57" customWidth="1"/>
    <col min="7" max="7" width="16.81640625" style="57" bestFit="1" customWidth="1"/>
    <col min="8" max="8" width="23" style="57" customWidth="1"/>
    <col min="9" max="9" width="19.453125" style="57" customWidth="1"/>
    <col min="10" max="10" width="16.90625" style="57" customWidth="1"/>
    <col min="11" max="11" width="21.90625" style="57" customWidth="1"/>
    <col min="12" max="12" width="21.54296875" style="57" customWidth="1"/>
    <col min="13" max="13" width="8.6328125" style="57"/>
    <col min="14" max="14" width="11.26953125" style="57" bestFit="1" customWidth="1"/>
    <col min="15" max="16384" width="8.6328125" style="57"/>
  </cols>
  <sheetData>
    <row r="2" spans="2:14" ht="18" customHeight="1" x14ac:dyDescent="0.3">
      <c r="B2" s="130" t="s">
        <v>34</v>
      </c>
      <c r="C2" s="131"/>
    </row>
    <row r="3" spans="2:14" s="50" customFormat="1" ht="18" customHeight="1" x14ac:dyDescent="0.35">
      <c r="B3" s="133" t="s">
        <v>5</v>
      </c>
      <c r="C3" s="134"/>
      <c r="D3" s="134"/>
      <c r="E3" s="134"/>
      <c r="F3" s="134"/>
      <c r="G3" s="134"/>
      <c r="H3" s="134"/>
      <c r="I3" s="134"/>
      <c r="J3" s="134"/>
      <c r="K3" s="134"/>
      <c r="L3" s="135"/>
    </row>
    <row r="4" spans="2:14" s="50" customFormat="1" ht="26" x14ac:dyDescent="0.35">
      <c r="B4" s="16" t="s">
        <v>4</v>
      </c>
      <c r="C4" s="8" t="s">
        <v>6</v>
      </c>
      <c r="D4" s="7" t="s">
        <v>13</v>
      </c>
      <c r="E4" s="86" t="s">
        <v>14</v>
      </c>
      <c r="F4" s="86" t="s">
        <v>10</v>
      </c>
      <c r="G4" s="86" t="s">
        <v>58</v>
      </c>
      <c r="H4" s="9" t="s">
        <v>12</v>
      </c>
      <c r="I4" s="8" t="s">
        <v>20</v>
      </c>
      <c r="J4" s="4" t="s">
        <v>30</v>
      </c>
      <c r="K4" s="87" t="s">
        <v>59</v>
      </c>
      <c r="L4" s="87" t="s">
        <v>60</v>
      </c>
    </row>
    <row r="5" spans="2:14" s="50" customFormat="1" ht="18" customHeight="1" x14ac:dyDescent="0.35">
      <c r="B5" s="17" t="s">
        <v>1</v>
      </c>
      <c r="C5" s="10">
        <v>6500000</v>
      </c>
      <c r="D5" s="11">
        <v>1500000</v>
      </c>
      <c r="E5" s="88">
        <v>3600000</v>
      </c>
      <c r="F5" s="88">
        <v>18400000</v>
      </c>
      <c r="G5" s="88">
        <f>SUM(E5:F5)</f>
        <v>22000000</v>
      </c>
      <c r="H5" s="12">
        <f>C5+D5+G5</f>
        <v>30000000</v>
      </c>
      <c r="I5" s="2">
        <f>C5/$H5</f>
        <v>0.21666666666666667</v>
      </c>
      <c r="J5" s="18">
        <f>D5/$H5</f>
        <v>0.05</v>
      </c>
      <c r="K5" s="90">
        <f>E5/H5</f>
        <v>0.12</v>
      </c>
      <c r="L5" s="90">
        <f>F5/$H5</f>
        <v>0.61333333333333329</v>
      </c>
      <c r="N5" s="58"/>
    </row>
    <row r="6" spans="2:14" s="50" customFormat="1" ht="18" customHeight="1" x14ac:dyDescent="0.35">
      <c r="B6" s="17" t="s">
        <v>3</v>
      </c>
      <c r="C6" s="10">
        <v>4500000</v>
      </c>
      <c r="D6" s="11">
        <v>1000000</v>
      </c>
      <c r="E6" s="88">
        <v>2600000</v>
      </c>
      <c r="F6" s="88">
        <v>11900000</v>
      </c>
      <c r="G6" s="88">
        <f>SUM(E6:F6)</f>
        <v>14500000</v>
      </c>
      <c r="H6" s="12">
        <f t="shared" ref="H6:H7" si="0">C6+D6+G6</f>
        <v>20000000</v>
      </c>
      <c r="I6" s="2">
        <f>C6/$H6</f>
        <v>0.22500000000000001</v>
      </c>
      <c r="J6" s="18">
        <f t="shared" ref="J6:J8" si="1">D6/$H6</f>
        <v>0.05</v>
      </c>
      <c r="K6" s="90">
        <f t="shared" ref="K6:K7" si="2">E6/H6</f>
        <v>0.13</v>
      </c>
      <c r="L6" s="90">
        <f t="shared" ref="L6:L8" si="3">F6/$H6</f>
        <v>0.59499999999999997</v>
      </c>
      <c r="N6" s="58"/>
    </row>
    <row r="7" spans="2:14" s="50" customFormat="1" ht="18" customHeight="1" x14ac:dyDescent="0.35">
      <c r="B7" s="17" t="s">
        <v>2</v>
      </c>
      <c r="C7" s="10">
        <v>9000000</v>
      </c>
      <c r="D7" s="11">
        <v>2500000</v>
      </c>
      <c r="E7" s="88">
        <v>7000000.0000000009</v>
      </c>
      <c r="F7" s="88">
        <v>31500000</v>
      </c>
      <c r="G7" s="88">
        <f t="shared" ref="G7" si="4">SUM(E7:F7)</f>
        <v>38500000</v>
      </c>
      <c r="H7" s="12">
        <f t="shared" si="0"/>
        <v>50000000</v>
      </c>
      <c r="I7" s="2">
        <f>C7/$H7</f>
        <v>0.18</v>
      </c>
      <c r="J7" s="18">
        <f t="shared" si="1"/>
        <v>0.05</v>
      </c>
      <c r="K7" s="90">
        <f t="shared" si="2"/>
        <v>0.14000000000000001</v>
      </c>
      <c r="L7" s="90">
        <f t="shared" si="3"/>
        <v>0.63</v>
      </c>
      <c r="N7" s="58"/>
    </row>
    <row r="8" spans="2:14" s="50" customFormat="1" ht="18" customHeight="1" x14ac:dyDescent="0.35">
      <c r="B8" s="19" t="s">
        <v>7</v>
      </c>
      <c r="C8" s="20">
        <f>SUM(C5:C7)</f>
        <v>20000000</v>
      </c>
      <c r="D8" s="21">
        <f t="shared" ref="D8:H8" si="5">SUM(D5:D7)</f>
        <v>5000000</v>
      </c>
      <c r="E8" s="89">
        <f t="shared" si="5"/>
        <v>13200000</v>
      </c>
      <c r="F8" s="89">
        <f t="shared" si="5"/>
        <v>61800000</v>
      </c>
      <c r="G8" s="89">
        <f t="shared" si="5"/>
        <v>75000000</v>
      </c>
      <c r="H8" s="22">
        <f t="shared" si="5"/>
        <v>100000000</v>
      </c>
      <c r="I8" s="23">
        <f>C8/$H8</f>
        <v>0.2</v>
      </c>
      <c r="J8" s="24">
        <f t="shared" si="1"/>
        <v>0.05</v>
      </c>
      <c r="K8" s="91">
        <f>E8/H8</f>
        <v>0.13200000000000001</v>
      </c>
      <c r="L8" s="91">
        <f t="shared" si="3"/>
        <v>0.61799999999999999</v>
      </c>
      <c r="N8" s="58"/>
    </row>
    <row r="9" spans="2:14" s="50" customFormat="1" ht="18" customHeight="1" x14ac:dyDescent="0.35">
      <c r="B9" s="55"/>
      <c r="C9" s="15"/>
      <c r="D9" s="15"/>
      <c r="E9" s="15"/>
      <c r="F9" s="15"/>
      <c r="G9" s="15"/>
      <c r="H9" s="15"/>
      <c r="I9" s="14"/>
      <c r="J9" s="14"/>
      <c r="K9" s="14"/>
      <c r="L9" s="14"/>
      <c r="N9" s="58"/>
    </row>
    <row r="10" spans="2:14" s="50" customFormat="1" ht="18" customHeight="1" x14ac:dyDescent="0.35">
      <c r="B10" s="59" t="s">
        <v>54</v>
      </c>
      <c r="C10" s="60"/>
    </row>
    <row r="11" spans="2:14" s="50" customFormat="1" ht="18" customHeight="1" x14ac:dyDescent="0.35">
      <c r="B11" s="127" t="s">
        <v>55</v>
      </c>
      <c r="C11" s="128"/>
      <c r="D11" s="128"/>
      <c r="E11" s="129"/>
    </row>
    <row r="12" spans="2:14" s="50" customFormat="1" ht="18" customHeight="1" x14ac:dyDescent="0.35">
      <c r="B12" s="133" t="s">
        <v>5</v>
      </c>
      <c r="C12" s="134"/>
      <c r="D12" s="134"/>
      <c r="E12" s="134"/>
      <c r="F12" s="134"/>
      <c r="G12" s="146" t="s">
        <v>71</v>
      </c>
      <c r="H12" s="146"/>
      <c r="I12" s="146"/>
      <c r="J12" s="146"/>
      <c r="K12" s="146"/>
      <c r="L12" s="147"/>
    </row>
    <row r="13" spans="2:14" s="50" customFormat="1" ht="20" customHeight="1" x14ac:dyDescent="0.35">
      <c r="B13" s="124"/>
      <c r="C13" s="148"/>
      <c r="D13" s="148"/>
      <c r="E13" s="148"/>
      <c r="F13" s="148"/>
      <c r="G13" s="123" t="s">
        <v>66</v>
      </c>
      <c r="H13" s="123"/>
      <c r="I13" s="123"/>
      <c r="J13" s="136" t="s">
        <v>67</v>
      </c>
      <c r="K13" s="136"/>
      <c r="L13" s="149"/>
    </row>
    <row r="14" spans="2:14" s="50" customFormat="1" ht="26" x14ac:dyDescent="0.35">
      <c r="B14" s="16" t="s">
        <v>4</v>
      </c>
      <c r="C14" s="150" t="s">
        <v>6</v>
      </c>
      <c r="D14" s="151" t="s">
        <v>61</v>
      </c>
      <c r="E14" s="150" t="s">
        <v>31</v>
      </c>
      <c r="F14" s="151" t="s">
        <v>62</v>
      </c>
      <c r="G14" s="152" t="s">
        <v>63</v>
      </c>
      <c r="H14" s="152" t="s">
        <v>64</v>
      </c>
      <c r="I14" s="152" t="s">
        <v>65</v>
      </c>
      <c r="J14" s="153" t="s">
        <v>68</v>
      </c>
      <c r="K14" s="153" t="s">
        <v>69</v>
      </c>
      <c r="L14" s="154" t="s">
        <v>70</v>
      </c>
    </row>
    <row r="15" spans="2:14" s="50" customFormat="1" ht="18" customHeight="1" x14ac:dyDescent="0.35">
      <c r="B15" s="17" t="s">
        <v>1</v>
      </c>
      <c r="C15" s="155">
        <f>C5</f>
        <v>6500000</v>
      </c>
      <c r="D15" s="156">
        <f>D5+G5</f>
        <v>23500000</v>
      </c>
      <c r="E15" s="2">
        <f>C15/(C15+D15)</f>
        <v>0.21666666666666667</v>
      </c>
      <c r="F15" s="1">
        <f>D15/(C15+D15)</f>
        <v>0.78333333333333333</v>
      </c>
      <c r="G15" s="157">
        <f>IF((C15/(C15+D15))&gt;0.05,0.05,(C15/(C15+D15)))</f>
        <v>0.05</v>
      </c>
      <c r="H15" s="157">
        <f>IF(C15/(C15+D15)&lt;=0.05, 0, IF(C15/(C15+D15)&lt;=0.1, C15/(C15+D15)-0.05, 0.05))</f>
        <v>0.05</v>
      </c>
      <c r="I15" s="157">
        <f>IF((C15/(C15+D15)) &gt; 0.1, (C15/(C15+D15)) - 0.1, 0)</f>
        <v>0.11666666666666667</v>
      </c>
      <c r="J15" s="25">
        <f>G15*(C15+D15)</f>
        <v>1500000</v>
      </c>
      <c r="K15" s="25">
        <f>H15*(C15+D15)</f>
        <v>1500000</v>
      </c>
      <c r="L15" s="26">
        <f>I15*(C15+D15)</f>
        <v>3500000</v>
      </c>
    </row>
    <row r="16" spans="2:14" s="50" customFormat="1" ht="18" customHeight="1" x14ac:dyDescent="0.35">
      <c r="B16" s="17" t="s">
        <v>3</v>
      </c>
      <c r="C16" s="155">
        <f>C6</f>
        <v>4500000</v>
      </c>
      <c r="D16" s="156">
        <f>D6+G6</f>
        <v>15500000</v>
      </c>
      <c r="E16" s="2">
        <f>C16/(C16+D16)</f>
        <v>0.22500000000000001</v>
      </c>
      <c r="F16" s="1">
        <f>D16/(C16+D16)</f>
        <v>0.77500000000000002</v>
      </c>
      <c r="G16" s="157">
        <f t="shared" ref="G16:G17" si="6">IF((C16/(C16+D16))&gt;0.05,0.05,(C16/(C16+D16)))</f>
        <v>0.05</v>
      </c>
      <c r="H16" s="157">
        <f t="shared" ref="H16:H17" si="7">IF(C16/(C16+D16)&lt;=0.05, 0, IF(C16/(C16+D16)&lt;=0.1, C16/(C16+D16)-0.05, 0.05))</f>
        <v>0.05</v>
      </c>
      <c r="I16" s="157">
        <f t="shared" ref="I16:I17" si="8">IF((C16/(C16+D16)) &gt; 0.1, (C16/(C16+D16)) - 0.1, 0)</f>
        <v>0.125</v>
      </c>
      <c r="J16" s="25">
        <f>G16*(C16+D16)</f>
        <v>1000000</v>
      </c>
      <c r="K16" s="25">
        <f>H16*(C16+D16)</f>
        <v>1000000</v>
      </c>
      <c r="L16" s="26">
        <f>I16*(C16+D16)</f>
        <v>2500000</v>
      </c>
      <c r="N16" s="13"/>
    </row>
    <row r="17" spans="1:14" s="50" customFormat="1" ht="18" customHeight="1" x14ac:dyDescent="0.35">
      <c r="B17" s="17" t="s">
        <v>2</v>
      </c>
      <c r="C17" s="155">
        <f>C7</f>
        <v>9000000</v>
      </c>
      <c r="D17" s="156">
        <f>D7+G7</f>
        <v>41000000</v>
      </c>
      <c r="E17" s="2">
        <f>C17/(C17+D17)</f>
        <v>0.18</v>
      </c>
      <c r="F17" s="1">
        <f>D17/(C17+D17)</f>
        <v>0.82</v>
      </c>
      <c r="G17" s="157">
        <f t="shared" si="6"/>
        <v>0.05</v>
      </c>
      <c r="H17" s="157">
        <f t="shared" si="7"/>
        <v>0.05</v>
      </c>
      <c r="I17" s="157">
        <f t="shared" si="8"/>
        <v>7.9999999999999988E-2</v>
      </c>
      <c r="J17" s="25">
        <f>G17*(C17+D17)</f>
        <v>2500000</v>
      </c>
      <c r="K17" s="25">
        <f>H17*(C17+D17)</f>
        <v>2500000</v>
      </c>
      <c r="L17" s="26">
        <f>I17*(C17+D17)</f>
        <v>3999999.9999999995</v>
      </c>
    </row>
    <row r="18" spans="1:14" s="50" customFormat="1" ht="18" customHeight="1" x14ac:dyDescent="0.35">
      <c r="B18" s="19" t="s">
        <v>7</v>
      </c>
      <c r="C18" s="20">
        <f>SUM(C15:C17)</f>
        <v>20000000</v>
      </c>
      <c r="D18" s="21">
        <f>SUM(D15:D17)</f>
        <v>80000000</v>
      </c>
      <c r="E18" s="23">
        <f>C18/(C18+D18)</f>
        <v>0.2</v>
      </c>
      <c r="F18" s="27">
        <f>D18/(C18+D18)</f>
        <v>0.8</v>
      </c>
      <c r="G18" s="137" t="s">
        <v>72</v>
      </c>
      <c r="H18" s="137"/>
      <c r="I18" s="137"/>
      <c r="J18" s="28">
        <f t="shared" ref="J18:L18" si="9">SUM(J15:J17)</f>
        <v>5000000</v>
      </c>
      <c r="K18" s="28">
        <f t="shared" si="9"/>
        <v>5000000</v>
      </c>
      <c r="L18" s="29">
        <f t="shared" si="9"/>
        <v>10000000</v>
      </c>
    </row>
    <row r="19" spans="1:14" s="50" customFormat="1" ht="18" customHeight="1" x14ac:dyDescent="0.35">
      <c r="B19" s="55"/>
      <c r="C19" s="15"/>
      <c r="D19" s="15"/>
      <c r="E19" s="14"/>
      <c r="F19" s="14"/>
      <c r="G19" s="61"/>
      <c r="H19" s="61"/>
      <c r="I19" s="61"/>
      <c r="J19" s="56"/>
      <c r="K19" s="56"/>
      <c r="L19" s="56"/>
    </row>
    <row r="20" spans="1:14" s="50" customFormat="1" ht="18" customHeight="1" x14ac:dyDescent="0.35">
      <c r="B20" s="130" t="s">
        <v>56</v>
      </c>
      <c r="C20" s="132"/>
      <c r="D20" s="132"/>
      <c r="E20" s="132"/>
      <c r="F20" s="131"/>
    </row>
    <row r="21" spans="1:14" s="50" customFormat="1" ht="18" customHeight="1" x14ac:dyDescent="0.35">
      <c r="B21" s="138" t="s">
        <v>6</v>
      </c>
      <c r="C21" s="139"/>
      <c r="D21" s="139"/>
      <c r="E21" s="139"/>
      <c r="F21" s="140"/>
      <c r="G21" s="142" t="s">
        <v>4</v>
      </c>
      <c r="H21" s="144" t="s">
        <v>13</v>
      </c>
      <c r="I21" s="125" t="s">
        <v>14</v>
      </c>
      <c r="J21" s="125" t="s">
        <v>10</v>
      </c>
      <c r="K21" s="125" t="s">
        <v>58</v>
      </c>
      <c r="L21" s="141" t="s">
        <v>32</v>
      </c>
    </row>
    <row r="22" spans="1:14" s="50" customFormat="1" ht="18" customHeight="1" x14ac:dyDescent="0.35">
      <c r="B22" s="16" t="s">
        <v>4</v>
      </c>
      <c r="C22" s="32" t="s">
        <v>17</v>
      </c>
      <c r="D22" s="32" t="s">
        <v>18</v>
      </c>
      <c r="E22" s="32" t="s">
        <v>19</v>
      </c>
      <c r="F22" s="32" t="s">
        <v>16</v>
      </c>
      <c r="G22" s="143"/>
      <c r="H22" s="145"/>
      <c r="I22" s="126"/>
      <c r="J22" s="126"/>
      <c r="K22" s="126"/>
      <c r="L22" s="141"/>
    </row>
    <row r="23" spans="1:14" s="50" customFormat="1" ht="18" customHeight="1" x14ac:dyDescent="0.35">
      <c r="A23" s="63" t="s">
        <v>8</v>
      </c>
      <c r="B23" s="34" t="s">
        <v>1</v>
      </c>
      <c r="C23" s="35">
        <f t="shared" ref="C23:E25" si="10">J15</f>
        <v>1500000</v>
      </c>
      <c r="D23" s="36">
        <f t="shared" si="10"/>
        <v>1500000</v>
      </c>
      <c r="E23" s="36">
        <f t="shared" si="10"/>
        <v>3500000</v>
      </c>
      <c r="F23" s="37">
        <f>SUM(C23:E23)</f>
        <v>6500000</v>
      </c>
      <c r="G23" s="34" t="s">
        <v>1</v>
      </c>
      <c r="H23" s="38">
        <f t="shared" ref="H23:J25" si="11">D5</f>
        <v>1500000</v>
      </c>
      <c r="I23" s="92">
        <f t="shared" si="11"/>
        <v>3600000</v>
      </c>
      <c r="J23" s="92">
        <f t="shared" si="11"/>
        <v>18400000</v>
      </c>
      <c r="K23" s="94">
        <f>SUM(I23:J23)</f>
        <v>22000000</v>
      </c>
      <c r="L23" s="64">
        <f>F23+H23+K23</f>
        <v>30000000</v>
      </c>
      <c r="N23" s="13"/>
    </row>
    <row r="24" spans="1:14" s="50" customFormat="1" ht="18" customHeight="1" x14ac:dyDescent="0.35">
      <c r="A24" s="63" t="s">
        <v>9</v>
      </c>
      <c r="B24" s="39" t="s">
        <v>3</v>
      </c>
      <c r="C24" s="3">
        <f t="shared" si="10"/>
        <v>1000000</v>
      </c>
      <c r="D24" s="5">
        <f t="shared" si="10"/>
        <v>1000000</v>
      </c>
      <c r="E24" s="5">
        <f t="shared" si="10"/>
        <v>2500000</v>
      </c>
      <c r="F24" s="37">
        <f t="shared" ref="F24:F25" si="12">SUM(C24:E24)</f>
        <v>4500000</v>
      </c>
      <c r="G24" s="39" t="s">
        <v>3</v>
      </c>
      <c r="H24" s="6">
        <f t="shared" si="11"/>
        <v>1000000</v>
      </c>
      <c r="I24" s="93">
        <f t="shared" si="11"/>
        <v>2600000</v>
      </c>
      <c r="J24" s="93">
        <f t="shared" si="11"/>
        <v>11900000</v>
      </c>
      <c r="K24" s="94">
        <f>SUM(I24:J24)</f>
        <v>14500000</v>
      </c>
      <c r="L24" s="64">
        <f>F24+H24+K24</f>
        <v>20000000</v>
      </c>
    </row>
    <row r="25" spans="1:14" s="50" customFormat="1" ht="18" customHeight="1" x14ac:dyDescent="0.35">
      <c r="A25" s="63" t="s">
        <v>21</v>
      </c>
      <c r="B25" s="39" t="s">
        <v>2</v>
      </c>
      <c r="C25" s="3">
        <f t="shared" si="10"/>
        <v>2500000</v>
      </c>
      <c r="D25" s="5">
        <f t="shared" si="10"/>
        <v>2500000</v>
      </c>
      <c r="E25" s="5">
        <f t="shared" si="10"/>
        <v>3999999.9999999995</v>
      </c>
      <c r="F25" s="37">
        <f t="shared" si="12"/>
        <v>9000000</v>
      </c>
      <c r="G25" s="41" t="s">
        <v>2</v>
      </c>
      <c r="H25" s="6">
        <f t="shared" si="11"/>
        <v>2500000</v>
      </c>
      <c r="I25" s="93">
        <f t="shared" si="11"/>
        <v>7000000.0000000009</v>
      </c>
      <c r="J25" s="93">
        <f t="shared" si="11"/>
        <v>31500000</v>
      </c>
      <c r="K25" s="94">
        <f>SUM(I25:J25)</f>
        <v>38500000</v>
      </c>
      <c r="L25" s="64">
        <f t="shared" ref="L25" si="13">F25+H25+K25</f>
        <v>50000000</v>
      </c>
    </row>
    <row r="26" spans="1:14" s="50" customFormat="1" ht="18" customHeight="1" x14ac:dyDescent="0.35">
      <c r="A26" s="63" t="s">
        <v>22</v>
      </c>
      <c r="B26" s="32" t="s">
        <v>15</v>
      </c>
      <c r="C26" s="42">
        <v>0.05</v>
      </c>
      <c r="D26" s="43">
        <v>0.1</v>
      </c>
      <c r="E26" s="43">
        <v>1</v>
      </c>
      <c r="F26" s="44"/>
      <c r="G26" s="31" t="s">
        <v>15</v>
      </c>
      <c r="H26" s="45">
        <v>0.01</v>
      </c>
      <c r="I26" s="96">
        <v>0.01</v>
      </c>
      <c r="J26" s="96">
        <v>5.0000000000000001E-3</v>
      </c>
      <c r="K26" s="97"/>
      <c r="L26" s="64"/>
    </row>
    <row r="27" spans="1:14" s="50" customFormat="1" ht="18" customHeight="1" x14ac:dyDescent="0.35">
      <c r="A27" s="63" t="s">
        <v>23</v>
      </c>
      <c r="B27" s="39" t="s">
        <v>1</v>
      </c>
      <c r="C27" s="3">
        <f>C23*$C$26</f>
        <v>75000</v>
      </c>
      <c r="D27" s="5">
        <f>D23*$D$26</f>
        <v>150000</v>
      </c>
      <c r="E27" s="5">
        <f>E23*$E$26</f>
        <v>3500000</v>
      </c>
      <c r="F27" s="40">
        <f>SUM(C27:E27)</f>
        <v>3725000</v>
      </c>
      <c r="G27" s="39" t="s">
        <v>1</v>
      </c>
      <c r="H27" s="6">
        <f>H23*$H$26</f>
        <v>15000</v>
      </c>
      <c r="I27" s="93">
        <f>I23*$I$26</f>
        <v>36000</v>
      </c>
      <c r="J27" s="93">
        <f>J23*$J$26</f>
        <v>92000</v>
      </c>
      <c r="K27" s="95">
        <f>SUM(I27:J27)</f>
        <v>128000</v>
      </c>
      <c r="L27" s="64">
        <f>F27+H27+K27</f>
        <v>3868000</v>
      </c>
    </row>
    <row r="28" spans="1:14" s="50" customFormat="1" ht="18" customHeight="1" x14ac:dyDescent="0.35">
      <c r="A28" s="63" t="s">
        <v>24</v>
      </c>
      <c r="B28" s="39" t="s">
        <v>3</v>
      </c>
      <c r="C28" s="3">
        <f>C24*$C$26</f>
        <v>50000</v>
      </c>
      <c r="D28" s="5">
        <f>D24*$D$26</f>
        <v>100000</v>
      </c>
      <c r="E28" s="5">
        <f>E24*$E$26</f>
        <v>2500000</v>
      </c>
      <c r="F28" s="40">
        <f>SUM(C28:E28)</f>
        <v>2650000</v>
      </c>
      <c r="G28" s="39" t="s">
        <v>3</v>
      </c>
      <c r="H28" s="6">
        <f>H24*$H$26</f>
        <v>10000</v>
      </c>
      <c r="I28" s="93">
        <f>I24*$I$26</f>
        <v>26000</v>
      </c>
      <c r="J28" s="93">
        <f>J24*$J$26</f>
        <v>59500</v>
      </c>
      <c r="K28" s="95">
        <f t="shared" ref="K28:K29" si="14">SUM(I28:J28)</f>
        <v>85500</v>
      </c>
      <c r="L28" s="64">
        <f t="shared" ref="L28:L29" si="15">F28+H28+K28</f>
        <v>2745500</v>
      </c>
    </row>
    <row r="29" spans="1:14" s="50" customFormat="1" ht="18" customHeight="1" x14ac:dyDescent="0.35">
      <c r="A29" s="63" t="s">
        <v>25</v>
      </c>
      <c r="B29" s="39" t="s">
        <v>2</v>
      </c>
      <c r="C29" s="3">
        <f>C25*$C$26</f>
        <v>125000</v>
      </c>
      <c r="D29" s="5">
        <f>D25*$D$26</f>
        <v>250000</v>
      </c>
      <c r="E29" s="5">
        <f>E25*$E$26</f>
        <v>3999999.9999999995</v>
      </c>
      <c r="F29" s="46">
        <f>SUM(C29:E29)</f>
        <v>4375000</v>
      </c>
      <c r="G29" s="47" t="s">
        <v>2</v>
      </c>
      <c r="H29" s="6">
        <f>H25*$H$26</f>
        <v>25000</v>
      </c>
      <c r="I29" s="93">
        <f>I25*$I$26</f>
        <v>70000.000000000015</v>
      </c>
      <c r="J29" s="93">
        <f>J25*$J$26</f>
        <v>157500</v>
      </c>
      <c r="K29" s="95">
        <f t="shared" si="14"/>
        <v>227500</v>
      </c>
      <c r="L29" s="64">
        <f t="shared" si="15"/>
        <v>4627500</v>
      </c>
    </row>
    <row r="30" spans="1:14" s="50" customFormat="1" ht="18" customHeight="1" x14ac:dyDescent="0.35">
      <c r="A30" s="63" t="s">
        <v>26</v>
      </c>
      <c r="B30" s="32" t="s">
        <v>7</v>
      </c>
      <c r="C30" s="49">
        <f>SUM(C27:C29)</f>
        <v>250000</v>
      </c>
      <c r="D30" s="49">
        <f>SUM(D27:D29)</f>
        <v>500000</v>
      </c>
      <c r="E30" s="49">
        <f>SUM(E27:E29)</f>
        <v>10000000</v>
      </c>
      <c r="F30" s="49">
        <f>SUM(F27:F29)</f>
        <v>10750000</v>
      </c>
      <c r="G30" s="31" t="s">
        <v>7</v>
      </c>
      <c r="H30" s="48">
        <f>SUM(H27:H29)</f>
        <v>50000</v>
      </c>
      <c r="I30" s="98">
        <f>SUM(I27:I29)</f>
        <v>132000</v>
      </c>
      <c r="J30" s="98">
        <f>SUM(J27:J29)</f>
        <v>309000</v>
      </c>
      <c r="K30" s="98">
        <f>SUM(K27:K29)</f>
        <v>441000</v>
      </c>
      <c r="L30" s="64">
        <f>F30+H30+K30</f>
        <v>11241000</v>
      </c>
    </row>
    <row r="32" spans="1:14" ht="18" customHeight="1" thickBot="1" x14ac:dyDescent="0.35">
      <c r="B32" s="127" t="s">
        <v>57</v>
      </c>
      <c r="C32" s="128"/>
      <c r="D32" s="129"/>
    </row>
    <row r="33" spans="1:13" ht="18" customHeight="1" thickBot="1" x14ac:dyDescent="0.75">
      <c r="B33" s="99">
        <v>15</v>
      </c>
      <c r="C33" s="100" t="s">
        <v>35</v>
      </c>
      <c r="D33" s="101" t="s">
        <v>36</v>
      </c>
      <c r="E33" s="100"/>
      <c r="F33" s="100"/>
      <c r="G33" s="100"/>
      <c r="H33" s="100"/>
      <c r="I33" s="100"/>
      <c r="J33" s="100"/>
      <c r="K33" s="102">
        <v>49000000</v>
      </c>
    </row>
    <row r="34" spans="1:13" s="75" customFormat="1" ht="21.5" thickTop="1" x14ac:dyDescent="0.7">
      <c r="B34" s="103"/>
      <c r="C34" s="57"/>
      <c r="D34" s="57"/>
      <c r="E34" s="57"/>
      <c r="F34" s="57"/>
      <c r="G34" s="57"/>
      <c r="H34" s="57"/>
      <c r="I34" s="57"/>
      <c r="J34" s="57"/>
      <c r="K34" s="104"/>
    </row>
    <row r="35" spans="1:13" ht="18" customHeight="1" x14ac:dyDescent="0.7">
      <c r="B35" s="105">
        <v>17.3</v>
      </c>
      <c r="C35" s="106" t="s">
        <v>37</v>
      </c>
      <c r="D35" s="78"/>
      <c r="E35" s="78"/>
      <c r="G35" s="79" t="s">
        <v>38</v>
      </c>
      <c r="H35" s="79" t="s">
        <v>39</v>
      </c>
      <c r="I35" s="79" t="s">
        <v>40</v>
      </c>
      <c r="J35" s="79" t="s">
        <v>41</v>
      </c>
      <c r="K35" s="107" t="s">
        <v>42</v>
      </c>
    </row>
    <row r="36" spans="1:13" ht="18" customHeight="1" thickBot="1" x14ac:dyDescent="0.75">
      <c r="B36" s="108"/>
      <c r="C36" s="109" t="s">
        <v>43</v>
      </c>
      <c r="D36" s="106" t="s">
        <v>44</v>
      </c>
      <c r="E36" s="78"/>
      <c r="G36" s="82">
        <v>1500000000</v>
      </c>
      <c r="H36" s="80">
        <v>0.5</v>
      </c>
      <c r="I36" s="81">
        <f>G36*H36</f>
        <v>750000000</v>
      </c>
      <c r="J36" s="110"/>
      <c r="K36" s="111"/>
    </row>
    <row r="37" spans="1:13" s="77" customFormat="1" ht="22" thickTop="1" thickBot="1" x14ac:dyDescent="0.75">
      <c r="B37" s="108"/>
      <c r="C37" s="109" t="s">
        <v>45</v>
      </c>
      <c r="D37" s="106" t="s">
        <v>46</v>
      </c>
      <c r="E37" s="78"/>
      <c r="G37" s="82">
        <v>1500000000</v>
      </c>
      <c r="H37" s="80">
        <v>0.3</v>
      </c>
      <c r="I37" s="81">
        <f>G37*H37</f>
        <v>450000000</v>
      </c>
      <c r="J37" s="110"/>
      <c r="K37" s="111"/>
      <c r="L37" s="79"/>
      <c r="M37" s="75"/>
    </row>
    <row r="38" spans="1:13" s="77" customFormat="1" ht="22" thickTop="1" thickBot="1" x14ac:dyDescent="0.75">
      <c r="B38" s="108"/>
      <c r="C38" s="109" t="s">
        <v>47</v>
      </c>
      <c r="D38" s="106" t="s">
        <v>48</v>
      </c>
      <c r="E38" s="78"/>
      <c r="G38" s="82">
        <v>1500000000</v>
      </c>
      <c r="H38" s="80">
        <v>0.2</v>
      </c>
      <c r="I38" s="81">
        <f>G38*H38</f>
        <v>300000000</v>
      </c>
      <c r="J38" s="110"/>
      <c r="K38" s="111"/>
      <c r="L38" s="79"/>
    </row>
    <row r="39" spans="1:13" s="77" customFormat="1" ht="22" thickTop="1" thickBot="1" x14ac:dyDescent="0.75">
      <c r="B39" s="112"/>
      <c r="C39" s="106" t="s">
        <v>49</v>
      </c>
      <c r="D39" s="106"/>
      <c r="E39" s="78"/>
      <c r="G39" s="78"/>
      <c r="H39" s="78"/>
      <c r="I39" s="82">
        <f>SUM(I36:I38)</f>
        <v>1500000000</v>
      </c>
      <c r="J39" s="83">
        <v>0</v>
      </c>
      <c r="K39" s="113">
        <f>I39*0.02</f>
        <v>30000000</v>
      </c>
      <c r="L39" s="79"/>
    </row>
    <row r="40" spans="1:13" s="77" customFormat="1" ht="21.5" thickTop="1" x14ac:dyDescent="0.7">
      <c r="B40" s="103"/>
      <c r="C40" s="57"/>
      <c r="D40" s="57"/>
      <c r="E40" s="57"/>
      <c r="F40" s="57"/>
      <c r="G40" s="57"/>
      <c r="H40" s="57"/>
      <c r="I40" s="57"/>
      <c r="J40" s="57"/>
      <c r="K40" s="104"/>
      <c r="L40" s="78"/>
    </row>
    <row r="41" spans="1:13" s="77" customFormat="1" ht="21.5" thickBot="1" x14ac:dyDescent="0.75">
      <c r="B41" s="114">
        <v>19</v>
      </c>
      <c r="C41" s="76" t="s">
        <v>50</v>
      </c>
      <c r="D41" s="78"/>
      <c r="E41" s="76"/>
      <c r="F41" s="115"/>
      <c r="G41" s="76"/>
      <c r="H41" s="76"/>
      <c r="I41" s="78"/>
      <c r="J41" s="76"/>
      <c r="K41" s="113">
        <f>K33-K39</f>
        <v>19000000</v>
      </c>
      <c r="L41" s="78"/>
    </row>
    <row r="42" spans="1:13" ht="18" customHeight="1" thickTop="1" x14ac:dyDescent="0.3">
      <c r="B42" s="103"/>
      <c r="K42" s="104"/>
    </row>
    <row r="43" spans="1:13" s="77" customFormat="1" ht="21" x14ac:dyDescent="0.7">
      <c r="B43" s="114"/>
      <c r="C43" s="76"/>
      <c r="D43" s="78"/>
      <c r="E43" s="76"/>
      <c r="F43" s="115"/>
      <c r="G43" s="76"/>
      <c r="H43" s="76"/>
      <c r="I43" s="79" t="s">
        <v>51</v>
      </c>
      <c r="J43" s="76"/>
      <c r="K43" s="116" t="s">
        <v>52</v>
      </c>
      <c r="L43" s="78"/>
    </row>
    <row r="44" spans="1:13" ht="18" customHeight="1" thickBot="1" x14ac:dyDescent="0.75">
      <c r="A44" s="76"/>
      <c r="B44" s="117">
        <v>20</v>
      </c>
      <c r="C44" s="118" t="s">
        <v>53</v>
      </c>
      <c r="D44" s="119"/>
      <c r="E44" s="118"/>
      <c r="F44" s="120"/>
      <c r="G44" s="118"/>
      <c r="H44" s="118"/>
      <c r="I44" s="121">
        <v>1</v>
      </c>
      <c r="J44" s="118"/>
      <c r="K44" s="122">
        <f>IF(C8-K41&lt;0, 0, C8-K41)</f>
        <v>1000000</v>
      </c>
    </row>
    <row r="45" spans="1:13" ht="18" customHeight="1" x14ac:dyDescent="0.7">
      <c r="A45" s="76"/>
    </row>
    <row r="47" spans="1:13" ht="18" customHeight="1" x14ac:dyDescent="0.3">
      <c r="B47" s="59" t="s">
        <v>29</v>
      </c>
      <c r="C47" s="60"/>
      <c r="D47" s="50"/>
      <c r="E47" s="50"/>
    </row>
    <row r="48" spans="1:13" ht="18" customHeight="1" x14ac:dyDescent="0.3">
      <c r="B48" s="33" t="s">
        <v>4</v>
      </c>
      <c r="C48" s="30" t="s">
        <v>0</v>
      </c>
      <c r="D48" s="65" t="s">
        <v>27</v>
      </c>
      <c r="E48" s="66" t="s">
        <v>28</v>
      </c>
    </row>
    <row r="49" spans="2:6" ht="18" customHeight="1" x14ac:dyDescent="0.3">
      <c r="B49" s="51" t="s">
        <v>1</v>
      </c>
      <c r="C49" s="36">
        <f>C5</f>
        <v>6500000</v>
      </c>
      <c r="D49" s="67">
        <f>C49/$C$52</f>
        <v>0.32500000000000001</v>
      </c>
      <c r="E49" s="68">
        <f>$K$44*D49</f>
        <v>325000</v>
      </c>
    </row>
    <row r="50" spans="2:6" ht="18" customHeight="1" x14ac:dyDescent="0.3">
      <c r="B50" s="51" t="s">
        <v>3</v>
      </c>
      <c r="C50" s="5">
        <f>C6</f>
        <v>4500000</v>
      </c>
      <c r="D50" s="67">
        <f>C50/$C$52</f>
        <v>0.22500000000000001</v>
      </c>
      <c r="E50" s="68">
        <f t="shared" ref="E50:E51" si="16">$K$44*D50</f>
        <v>225000</v>
      </c>
    </row>
    <row r="51" spans="2:6" ht="18" customHeight="1" x14ac:dyDescent="0.3">
      <c r="B51" s="51" t="s">
        <v>2</v>
      </c>
      <c r="C51" s="5">
        <f>C7</f>
        <v>9000000</v>
      </c>
      <c r="D51" s="67">
        <f>C51/$C$52</f>
        <v>0.45</v>
      </c>
      <c r="E51" s="68">
        <f t="shared" si="16"/>
        <v>450000</v>
      </c>
    </row>
    <row r="52" spans="2:6" ht="18" customHeight="1" x14ac:dyDescent="0.3">
      <c r="B52" s="52" t="s">
        <v>7</v>
      </c>
      <c r="C52" s="53">
        <f>SUM(C49:C51)</f>
        <v>20000000</v>
      </c>
      <c r="D52" s="69"/>
      <c r="E52" s="53">
        <f>SUM(E49:E51)</f>
        <v>1000000</v>
      </c>
    </row>
    <row r="53" spans="2:6" ht="18" customHeight="1" x14ac:dyDescent="0.3">
      <c r="F53" s="50"/>
    </row>
    <row r="54" spans="2:6" ht="18" customHeight="1" x14ac:dyDescent="0.3">
      <c r="F54" s="50"/>
    </row>
    <row r="55" spans="2:6" ht="18" customHeight="1" x14ac:dyDescent="0.3">
      <c r="B55" s="127" t="s">
        <v>54</v>
      </c>
      <c r="C55" s="129"/>
      <c r="D55" s="85"/>
      <c r="F55" s="50"/>
    </row>
    <row r="56" spans="2:6" ht="18" customHeight="1" x14ac:dyDescent="0.3">
      <c r="B56" s="54" t="s">
        <v>4</v>
      </c>
      <c r="C56" s="62" t="s">
        <v>11</v>
      </c>
      <c r="D56" s="66" t="s">
        <v>28</v>
      </c>
      <c r="E56" s="84" t="s">
        <v>33</v>
      </c>
      <c r="F56" s="50"/>
    </row>
    <row r="57" spans="2:6" ht="18" customHeight="1" x14ac:dyDescent="0.3">
      <c r="B57" s="17" t="s">
        <v>1</v>
      </c>
      <c r="C57" s="70">
        <f>L27</f>
        <v>3868000</v>
      </c>
      <c r="D57" s="71">
        <f>E49</f>
        <v>325000</v>
      </c>
      <c r="E57" s="72">
        <f>C57+D57</f>
        <v>4193000</v>
      </c>
      <c r="F57" s="50"/>
    </row>
    <row r="58" spans="2:6" ht="18" customHeight="1" x14ac:dyDescent="0.3">
      <c r="B58" s="17" t="s">
        <v>3</v>
      </c>
      <c r="C58" s="70">
        <f>L28</f>
        <v>2745500</v>
      </c>
      <c r="D58" s="71">
        <f>E50</f>
        <v>225000</v>
      </c>
      <c r="E58" s="72">
        <f t="shared" ref="E58:E60" si="17">C58+D58</f>
        <v>2970500</v>
      </c>
      <c r="F58" s="50"/>
    </row>
    <row r="59" spans="2:6" ht="18" customHeight="1" x14ac:dyDescent="0.3">
      <c r="B59" s="17" t="s">
        <v>2</v>
      </c>
      <c r="C59" s="70">
        <f>L29</f>
        <v>4627500</v>
      </c>
      <c r="D59" s="71">
        <f>E51</f>
        <v>450000</v>
      </c>
      <c r="E59" s="72">
        <f t="shared" si="17"/>
        <v>5077500</v>
      </c>
      <c r="F59" s="50"/>
    </row>
    <row r="60" spans="2:6" ht="18" customHeight="1" x14ac:dyDescent="0.3">
      <c r="B60" s="19" t="s">
        <v>7</v>
      </c>
      <c r="C60" s="73">
        <f>L30</f>
        <v>11241000</v>
      </c>
      <c r="D60" s="74">
        <f>SUM(D57:D59)</f>
        <v>1000000</v>
      </c>
      <c r="E60" s="49">
        <f t="shared" si="17"/>
        <v>12241000</v>
      </c>
    </row>
  </sheetData>
  <mergeCells count="18">
    <mergeCell ref="B55:C55"/>
    <mergeCell ref="B2:C2"/>
    <mergeCell ref="B11:E11"/>
    <mergeCell ref="B20:F20"/>
    <mergeCell ref="B3:L3"/>
    <mergeCell ref="J13:L13"/>
    <mergeCell ref="G18:I18"/>
    <mergeCell ref="B21:F21"/>
    <mergeCell ref="L21:L22"/>
    <mergeCell ref="G21:G22"/>
    <mergeCell ref="H21:H22"/>
    <mergeCell ref="I21:I22"/>
    <mergeCell ref="J21:J22"/>
    <mergeCell ref="G13:I13"/>
    <mergeCell ref="G12:L12"/>
    <mergeCell ref="B12:F13"/>
    <mergeCell ref="K21:K22"/>
    <mergeCell ref="B32:D32"/>
  </mergeCells>
  <pageMargins left="0.7" right="0.7" top="0.75" bottom="0.75" header="0.3" footer="0.3"/>
  <pageSetup paperSize="9" orientation="portrait" r:id="rId1"/>
  <ignoredErrors>
    <ignoredError sqref="G5:G7" formulaRange="1"/>
    <ignoredError sqref="K5:K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9E588E-164F-4E92-96FF-F03EE39A0F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544664-1938-4829-B9C7-DE77AC8B8C7A}"/>
</file>

<file path=customXml/itemProps3.xml><?xml version="1.0" encoding="utf-8"?>
<ds:datastoreItem xmlns:ds="http://schemas.openxmlformats.org/officeDocument/2006/customXml" ds:itemID="{7FDAE786-9593-41A6-951D-B59399655F6A}">
  <ds:schemaRefs>
    <ds:schemaRef ds:uri="7e1b2811-d45c-4bd2-998e-6ea7b676ee9b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0e3df69d-cc49-4c13-988f-0bcfcc9b663c}" enabled="1" method="Standard" siteId="{0ad5298e-296d-45ab-a446-c0d364c5b1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same coin - สมมติฐาน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Sarun Boonsue</cp:lastModifiedBy>
  <cp:revision/>
  <dcterms:created xsi:type="dcterms:W3CDTF">2025-06-10T06:48:38Z</dcterms:created>
  <dcterms:modified xsi:type="dcterms:W3CDTF">2025-06-26T02:38:01Z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